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7.11.1時点\"/>
    </mc:Choice>
  </mc:AlternateContent>
  <xr:revisionPtr revIDLastSave="0" documentId="8_{617A0662-7ED7-4AD5-B4C9-F6B9BFE1CEF5}" xr6:coauthVersionLast="47" xr6:coauthVersionMax="47" xr10:uidLastSave="{00000000-0000-0000-0000-000000000000}"/>
  <bookViews>
    <workbookView xWindow="28680" yWindow="-120" windowWidth="29040" windowHeight="15720" xr2:uid="{747A62D3-6B92-43F6-BC18-CF55DE3F43FD}"/>
  </bookViews>
  <sheets>
    <sheet name="協力難病指定医" sheetId="1" r:id="rId1"/>
  </sheets>
  <definedNames>
    <definedName name="_xlnm._FilterDatabase" localSheetId="0" hidden="1">協力難病指定医!$A$2:$E$95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D4" i="1"/>
  <c r="C5" i="1"/>
  <c r="D5" i="1"/>
  <c r="D6" i="1"/>
  <c r="D7" i="1"/>
  <c r="C8" i="1"/>
  <c r="D8" i="1"/>
  <c r="D9" i="1"/>
  <c r="D10" i="1"/>
  <c r="C11" i="1"/>
  <c r="D11" i="1"/>
  <c r="D12" i="1"/>
  <c r="D13" i="1"/>
  <c r="C14" i="1"/>
  <c r="D14" i="1"/>
  <c r="C15" i="1"/>
  <c r="D15" i="1"/>
  <c r="C16" i="1"/>
  <c r="D16" i="1"/>
  <c r="D17" i="1"/>
  <c r="C18" i="1"/>
  <c r="D18" i="1"/>
  <c r="D19" i="1"/>
  <c r="C20" i="1"/>
  <c r="D20" i="1"/>
  <c r="D21" i="1"/>
  <c r="C22" i="1"/>
  <c r="D22" i="1"/>
  <c r="C23" i="1"/>
  <c r="D23" i="1"/>
  <c r="C24" i="1"/>
  <c r="D24" i="1"/>
  <c r="C25" i="1"/>
  <c r="D25" i="1"/>
  <c r="D26" i="1"/>
  <c r="C27" i="1"/>
  <c r="D27" i="1"/>
  <c r="C28" i="1"/>
  <c r="D28" i="1"/>
  <c r="D29" i="1"/>
  <c r="C30" i="1"/>
  <c r="D30" i="1"/>
  <c r="C31" i="1"/>
  <c r="D31" i="1"/>
  <c r="D32" i="1"/>
  <c r="C33" i="1"/>
  <c r="D33" i="1"/>
  <c r="C34" i="1"/>
  <c r="D34" i="1"/>
  <c r="D35" i="1"/>
  <c r="C36" i="1"/>
  <c r="D36" i="1"/>
  <c r="D37" i="1"/>
  <c r="C38" i="1"/>
  <c r="D38" i="1"/>
  <c r="C39" i="1"/>
  <c r="D39" i="1"/>
  <c r="D40" i="1"/>
  <c r="C41" i="1"/>
  <c r="D41" i="1"/>
  <c r="D42" i="1"/>
  <c r="C43" i="1"/>
  <c r="D43" i="1"/>
  <c r="D44" i="1"/>
  <c r="D45" i="1"/>
  <c r="C46" i="1"/>
  <c r="D46" i="1"/>
  <c r="D47" i="1"/>
  <c r="C48" i="1"/>
  <c r="D48" i="1"/>
  <c r="C49" i="1"/>
  <c r="D49" i="1"/>
  <c r="D50" i="1"/>
  <c r="D51" i="1"/>
  <c r="D52" i="1"/>
  <c r="C53" i="1"/>
  <c r="D53" i="1"/>
  <c r="D54" i="1"/>
  <c r="C55" i="1"/>
  <c r="D55" i="1"/>
  <c r="D56" i="1"/>
  <c r="C57" i="1"/>
  <c r="D57" i="1"/>
  <c r="C58" i="1"/>
  <c r="D58" i="1"/>
  <c r="C59" i="1"/>
  <c r="D59" i="1"/>
  <c r="D60" i="1"/>
  <c r="D61" i="1"/>
  <c r="C62" i="1"/>
  <c r="D62" i="1"/>
  <c r="C63" i="1"/>
  <c r="D63" i="1"/>
  <c r="C64" i="1"/>
  <c r="D64" i="1"/>
  <c r="C65" i="1"/>
  <c r="D65" i="1"/>
  <c r="D66" i="1"/>
  <c r="C67" i="1"/>
  <c r="D67" i="1"/>
  <c r="C68" i="1"/>
  <c r="D68" i="1"/>
  <c r="D69" i="1"/>
  <c r="D70" i="1"/>
  <c r="C71" i="1"/>
  <c r="D71" i="1"/>
  <c r="D72" i="1"/>
  <c r="D73" i="1"/>
  <c r="C74" i="1"/>
  <c r="D74" i="1"/>
  <c r="D75" i="1"/>
  <c r="C76" i="1"/>
  <c r="D76" i="1"/>
  <c r="C77" i="1"/>
  <c r="D77" i="1"/>
  <c r="C78" i="1"/>
  <c r="D78" i="1"/>
  <c r="D79" i="1"/>
  <c r="D80" i="1"/>
  <c r="C81" i="1"/>
  <c r="D81" i="1"/>
  <c r="D82" i="1"/>
  <c r="D83" i="1"/>
  <c r="C84" i="1"/>
  <c r="D84" i="1"/>
  <c r="D85" i="1"/>
  <c r="C86" i="1"/>
  <c r="D86" i="1"/>
  <c r="D87" i="1"/>
  <c r="D88" i="1"/>
  <c r="C89" i="1"/>
  <c r="D89" i="1"/>
  <c r="D90" i="1"/>
  <c r="C91" i="1"/>
  <c r="D91" i="1"/>
  <c r="C92" i="1"/>
  <c r="D92" i="1"/>
  <c r="D93" i="1"/>
  <c r="C94" i="1"/>
  <c r="D94" i="1"/>
  <c r="C95" i="1"/>
  <c r="D95" i="1"/>
</calcChain>
</file>

<file path=xl/sharedStrings.xml><?xml version="1.0" encoding="utf-8"?>
<sst xmlns="http://schemas.openxmlformats.org/spreadsheetml/2006/main" count="327" uniqueCount="275">
  <si>
    <t>内科</t>
  </si>
  <si>
    <t>まつうらクリニック</t>
  </si>
  <si>
    <t>松浦　りつ子</t>
  </si>
  <si>
    <t>耳鼻いんこう科</t>
  </si>
  <si>
    <t>松浦　徹</t>
  </si>
  <si>
    <t>南牟婁郡御浜町大字阿田和177</t>
  </si>
  <si>
    <t>紀南病院附属あたわ在宅診療所</t>
  </si>
  <si>
    <t>鈴木　孝明</t>
  </si>
  <si>
    <t>尾辻内科クリニック</t>
  </si>
  <si>
    <t>尾辻　啓</t>
  </si>
  <si>
    <t>別當クリニック</t>
  </si>
  <si>
    <t>別當 尚</t>
  </si>
  <si>
    <t>救急科</t>
  </si>
  <si>
    <t>志摩市阿児町鵜方1257</t>
  </si>
  <si>
    <t>三重県立志摩病院</t>
  </si>
  <si>
    <t>片山　繁</t>
  </si>
  <si>
    <t>内科、整形外科、泌尿器科、アレルギー科、小児科</t>
  </si>
  <si>
    <t>在宅・総合診療スマイルクリニック</t>
  </si>
  <si>
    <t>大屋　正樹</t>
  </si>
  <si>
    <t>志摩市磯部町恵利原1530</t>
  </si>
  <si>
    <t>おかむね医院</t>
  </si>
  <si>
    <t>岡宗　眞一郎</t>
  </si>
  <si>
    <t>内科、小児科</t>
  </si>
  <si>
    <t>鳥羽市坂手町178</t>
  </si>
  <si>
    <t>鳥羽市立坂手診療所</t>
  </si>
  <si>
    <t>菅原　茂</t>
  </si>
  <si>
    <t>神戸クリニック</t>
  </si>
  <si>
    <t>野口　吉文</t>
  </si>
  <si>
    <t>内科、外科</t>
  </si>
  <si>
    <t>度会郡玉城町佐田881</t>
  </si>
  <si>
    <t>玉城町国民健康保険玉城病院</t>
  </si>
  <si>
    <t>本泉　誠</t>
  </si>
  <si>
    <t>内科、皮膚科、泌尿器科</t>
  </si>
  <si>
    <t>橋上内科外科皮フ泌尿器科医院</t>
  </si>
  <si>
    <t>橋上　裕</t>
  </si>
  <si>
    <t>内科、消化器内科</t>
  </si>
  <si>
    <t>伊勢市倭町132番地</t>
  </si>
  <si>
    <t>医療法人德田内科　德田ファミリークリニック</t>
  </si>
  <si>
    <t>德田　敦</t>
  </si>
  <si>
    <t>多気郡大台町江馬127番地</t>
  </si>
  <si>
    <t>大台町報徳診療所</t>
  </si>
  <si>
    <t>増井　利治</t>
  </si>
  <si>
    <t>高橋内科</t>
  </si>
  <si>
    <t>髙橋　利明</t>
  </si>
  <si>
    <t>多気郡明和町竹川353</t>
  </si>
  <si>
    <t>医療法人大徹会　北島医院</t>
  </si>
  <si>
    <t>北島　俊夫</t>
  </si>
  <si>
    <t>多気郡明和町大字大淀2444番地1</t>
  </si>
  <si>
    <t>もりた内科医院</t>
  </si>
  <si>
    <t>森田　孝一</t>
  </si>
  <si>
    <t>老人保健施設　さくらんぼ</t>
  </si>
  <si>
    <t>岩中　久和</t>
  </si>
  <si>
    <t>内科、呼吸器内科</t>
  </si>
  <si>
    <t>小林医院</t>
  </si>
  <si>
    <t>小林　稔彦</t>
  </si>
  <si>
    <t>在宅医療クリニックゆめ</t>
  </si>
  <si>
    <t>木田　英也</t>
  </si>
  <si>
    <t>松阪市船江町471番地の10</t>
  </si>
  <si>
    <t>医療法人大成会　こむら胃腸内科</t>
  </si>
  <si>
    <t>小村　明夫</t>
  </si>
  <si>
    <t>医療法人西井医院</t>
  </si>
  <si>
    <t>西井　義典</t>
  </si>
  <si>
    <t>松阪市魚町1693番地</t>
  </si>
  <si>
    <t>医療法人 増山医院</t>
  </si>
  <si>
    <t>増山　晴幸</t>
  </si>
  <si>
    <t>アレルギー科、眼科</t>
  </si>
  <si>
    <t>津市野田33番地9</t>
  </si>
  <si>
    <t>津西眼科クリニック</t>
  </si>
  <si>
    <t>白石　史朗</t>
  </si>
  <si>
    <t>中森内科</t>
  </si>
  <si>
    <t>中森　伊三夫</t>
  </si>
  <si>
    <t>津市下弁財町津興3040番地</t>
  </si>
  <si>
    <t>倉本内科病院</t>
  </si>
  <si>
    <t>倉本　徹</t>
  </si>
  <si>
    <t>津市庄田町2090番地</t>
  </si>
  <si>
    <t>上野内科</t>
  </si>
  <si>
    <t>上野　利通</t>
  </si>
  <si>
    <t>社会福祉法人高田福祉事業協会附属診療所</t>
  </si>
  <si>
    <t>町野　良紀</t>
  </si>
  <si>
    <t>社会福祉法人　高田福祉事業協会附属診療所</t>
  </si>
  <si>
    <t>松林　研二</t>
  </si>
  <si>
    <t>津市白山町南家城616</t>
  </si>
  <si>
    <t>三重県立一志病院</t>
  </si>
  <si>
    <t>中村　太一</t>
  </si>
  <si>
    <t>内科、心療内科、精神科</t>
  </si>
  <si>
    <t>芹の里クリニック</t>
  </si>
  <si>
    <t>井上　達雄</t>
  </si>
  <si>
    <t>内科、小児科、緩和ケア内科</t>
  </si>
  <si>
    <t>丸の内在宅クリニック</t>
  </si>
  <si>
    <t>矢部　千鶴</t>
  </si>
  <si>
    <t>介護老人保健施設　トマト</t>
  </si>
  <si>
    <t>中﨑　隆弘</t>
  </si>
  <si>
    <t>内科・消化器科</t>
  </si>
  <si>
    <t>加藤医院</t>
  </si>
  <si>
    <t>加藤　裕也</t>
  </si>
  <si>
    <t>津市榊原町5630番地</t>
  </si>
  <si>
    <t>医療法人凰林会 榊原白鳳病院</t>
  </si>
  <si>
    <t>佐々木　秀俊</t>
  </si>
  <si>
    <t>津市久居井戸山町759</t>
  </si>
  <si>
    <t>医療法人社団みどりの風　ひさい内科病院</t>
  </si>
  <si>
    <t>中村　覚</t>
  </si>
  <si>
    <t>内科・消化器内科・糖尿病内科・皮膚科・小児科</t>
  </si>
  <si>
    <t>医療法人慶幸会　刀根クリニック</t>
  </si>
  <si>
    <t>刀根　幸夫</t>
  </si>
  <si>
    <t>内科、泌尿器科</t>
  </si>
  <si>
    <t>医療法人あいいく会　おくのクリニック</t>
  </si>
  <si>
    <t>奥野　利幸</t>
  </si>
  <si>
    <t>医療法人 坂の上クリニック</t>
  </si>
  <si>
    <t>黒田　久弥</t>
  </si>
  <si>
    <t>津市河芸町浜田688番地1</t>
  </si>
  <si>
    <t>医療法人　かわいクリニック</t>
  </si>
  <si>
    <t>河井　秀仁</t>
  </si>
  <si>
    <t>内科、呼吸器科、消化器科、循環器科、小児科、リハビリテーション科</t>
  </si>
  <si>
    <t>まきのクリニック</t>
  </si>
  <si>
    <t>牧野　幸郎</t>
  </si>
  <si>
    <t>内科、心臓血管外科、循環器内科</t>
  </si>
  <si>
    <t>津市河辺町3547番地1</t>
  </si>
  <si>
    <t>たにクリニック</t>
  </si>
  <si>
    <t>谷　一浩</t>
  </si>
  <si>
    <t>コスモスクリニック</t>
  </si>
  <si>
    <t>小田　幸子</t>
  </si>
  <si>
    <t>津市安濃町戸島569番8</t>
  </si>
  <si>
    <t>カサデマドレ クリニック</t>
  </si>
  <si>
    <t>角田　裕</t>
  </si>
  <si>
    <t>伊賀市沖50番地</t>
  </si>
  <si>
    <t>嶋地医院</t>
  </si>
  <si>
    <t>嶋地　健</t>
  </si>
  <si>
    <t>伊賀市島ケ原5879</t>
  </si>
  <si>
    <t>竹沢医院</t>
  </si>
  <si>
    <t>竹澤　千裕</t>
  </si>
  <si>
    <t>内科・小児科・外科・整形外科・リハビリテーション科・アレルギー科・リウマチ科</t>
  </si>
  <si>
    <t>滝井医院</t>
  </si>
  <si>
    <t>滝井　昇</t>
  </si>
  <si>
    <t>黒田クリニック</t>
  </si>
  <si>
    <t>黒田　幹人</t>
  </si>
  <si>
    <t>精神科</t>
  </si>
  <si>
    <t>伊賀市四十九町2888</t>
  </si>
  <si>
    <t>一般財団法人信貴山病院分院上野病院</t>
  </si>
  <si>
    <t>井川　大輔</t>
  </si>
  <si>
    <t>医療法人阿山共生会　河合診療所</t>
  </si>
  <si>
    <t>山本　均</t>
  </si>
  <si>
    <t>伊賀市下柘植1092番地</t>
  </si>
  <si>
    <t>医療法人まちし会　まちしクリニック</t>
  </si>
  <si>
    <t>町支　素子</t>
  </si>
  <si>
    <t>内科、胃腸科、整形外科、泌尿器科、リハビリテーション科</t>
  </si>
  <si>
    <t>伊賀市比土字上ノ代3158番地1</t>
  </si>
  <si>
    <t>医療法人　浅野整形外科内科</t>
  </si>
  <si>
    <t>浅野　清豪</t>
  </si>
  <si>
    <t>医療法人　紀平医院</t>
  </si>
  <si>
    <t>紀平　久和</t>
  </si>
  <si>
    <t>整形外科</t>
  </si>
  <si>
    <t>伊賀市平野城北町133番地</t>
  </si>
  <si>
    <t>ひねの整形外科</t>
  </si>
  <si>
    <t>日根野　隆治</t>
  </si>
  <si>
    <t>皮膚科</t>
  </si>
  <si>
    <t>たにぐち皮フ科</t>
  </si>
  <si>
    <t>谷口　弘隆</t>
  </si>
  <si>
    <t>内科・糖尿病・代謝内科</t>
  </si>
  <si>
    <t>名張市丸之内3番地13</t>
  </si>
  <si>
    <t>森岡内科クリニック</t>
  </si>
  <si>
    <t>森岡　浩平</t>
  </si>
  <si>
    <t>信岡医院</t>
  </si>
  <si>
    <t>信岡　亮</t>
  </si>
  <si>
    <t>医療法人大町会　名張ふくにしクリニック</t>
  </si>
  <si>
    <t>保田　光代</t>
  </si>
  <si>
    <t>呼吸器内科</t>
  </si>
  <si>
    <t>名張市瀬古口341番地3</t>
  </si>
  <si>
    <t>医療法人　グリーンスウォード　ますだ呼吸器科クリニック</t>
  </si>
  <si>
    <t>増田　大介</t>
  </si>
  <si>
    <t>外科、内科</t>
  </si>
  <si>
    <t>服部医院</t>
  </si>
  <si>
    <t>服部　博司</t>
  </si>
  <si>
    <t>鈴鹿市庄野町2550番地</t>
  </si>
  <si>
    <t>白鳳クリニック</t>
  </si>
  <si>
    <t>西村　公宏</t>
  </si>
  <si>
    <t>胃腸科、内科、外科、肛門科、皮膚科、リハビリテーション科、アレルギー科</t>
  </si>
  <si>
    <t>朝川クリニック</t>
  </si>
  <si>
    <t>朝川　豊松</t>
  </si>
  <si>
    <t>眼科</t>
  </si>
  <si>
    <t>滝川眼科</t>
  </si>
  <si>
    <t>滝川　素代</t>
  </si>
  <si>
    <t>外科、内科、小児外科、胃腸科</t>
  </si>
  <si>
    <t>鈴鹿市長太旭町四丁目23番23号</t>
  </si>
  <si>
    <t>西城外科内科</t>
  </si>
  <si>
    <t>西城　英郎</t>
  </si>
  <si>
    <t>外科</t>
  </si>
  <si>
    <t>坂倉ペインクリニック在宅診療所</t>
  </si>
  <si>
    <t>坂倉　究</t>
  </si>
  <si>
    <t>胃腸内科</t>
  </si>
  <si>
    <t>黒田　道夫</t>
  </si>
  <si>
    <t>外科・内科・消化器内科・肛門外科・皮膚科・リハビリテーション科</t>
  </si>
  <si>
    <t>鈴鹿市高岡町550</t>
  </si>
  <si>
    <t>高木病院</t>
  </si>
  <si>
    <t>髙木　啓介</t>
  </si>
  <si>
    <t>麻酔科、ペインクリニック</t>
  </si>
  <si>
    <t>医療法人坂倉ペインクリニック</t>
  </si>
  <si>
    <t>坂倉　幸子</t>
  </si>
  <si>
    <t>ひまわり皮フ科</t>
  </si>
  <si>
    <t>浜中　浩子</t>
  </si>
  <si>
    <t>鈴鹿市江島町4037</t>
  </si>
  <si>
    <t>おの内科クリニック</t>
  </si>
  <si>
    <t>小野　知巳</t>
  </si>
  <si>
    <t>内科、整形外科</t>
  </si>
  <si>
    <t>水谷医院</t>
  </si>
  <si>
    <t>水谷　直巳</t>
  </si>
  <si>
    <t>胃腸科、内科、小児科、外科</t>
  </si>
  <si>
    <t>寺島クリニック</t>
  </si>
  <si>
    <t>寺島　秀樹</t>
  </si>
  <si>
    <t>四日市眼科クリニック</t>
  </si>
  <si>
    <t>山下　誠</t>
  </si>
  <si>
    <t>山中内科小児科</t>
  </si>
  <si>
    <t>山中　??郎</t>
  </si>
  <si>
    <t>胃腸科、内科、外科、肛門外科、リハビリテーション科</t>
  </si>
  <si>
    <t>四日市市智積町6062</t>
  </si>
  <si>
    <t>三滝クリニック</t>
  </si>
  <si>
    <t>喜畑　雅文</t>
  </si>
  <si>
    <t>医療法人徳新会　四日市徳新会病院</t>
  </si>
  <si>
    <t>豊田　國彦</t>
  </si>
  <si>
    <t>四日市市伊倉一丁目1番46号</t>
  </si>
  <si>
    <t>医療法人徳心会　四日市セントラルクリニック</t>
  </si>
  <si>
    <t>竹重　信</t>
  </si>
  <si>
    <t>内科・リハビリテーション科・人工透析内科</t>
  </si>
  <si>
    <t>医療法人正和会　正和クリニック</t>
  </si>
  <si>
    <t>笠井　繁毅</t>
  </si>
  <si>
    <t>四日市市城北町8番1号</t>
  </si>
  <si>
    <t>医療法人社団主体会　主体会病院</t>
  </si>
  <si>
    <t>前田　尚武</t>
  </si>
  <si>
    <t>医療法人社団　山中胃腸科病院</t>
  </si>
  <si>
    <t>淵田　則次</t>
  </si>
  <si>
    <t>医療法人　森医院</t>
  </si>
  <si>
    <t>森　義久</t>
  </si>
  <si>
    <t>内科、精神科、精神科・内科・循環器内科</t>
  </si>
  <si>
    <t>医療法人　安仁会　水沢病院</t>
  </si>
  <si>
    <t>梅原　千寿</t>
  </si>
  <si>
    <t>四日市市日永西一丁目4545</t>
  </si>
  <si>
    <t>やまもと胃腸科内科</t>
  </si>
  <si>
    <t>山本　哲也</t>
  </si>
  <si>
    <t>四日市市日永一丁目3番18号</t>
  </si>
  <si>
    <t>すずらん診療所</t>
  </si>
  <si>
    <t>石川　義典</t>
  </si>
  <si>
    <t>内科・糖尿病代謝内科</t>
  </si>
  <si>
    <t>すえながばしクリニック</t>
  </si>
  <si>
    <t>古田　雅彦</t>
  </si>
  <si>
    <t>内科、胃腸科、リハビリテーション科</t>
  </si>
  <si>
    <t>四日市市西大鐘町字東谷1610番地</t>
  </si>
  <si>
    <t>しもの診療所</t>
  </si>
  <si>
    <t>川井　祐輔</t>
  </si>
  <si>
    <t>耳鼻咽喉科</t>
  </si>
  <si>
    <t>四日市市下海老町108の2</t>
  </si>
  <si>
    <t>ありまクリニック</t>
  </si>
  <si>
    <t>有馬　忍</t>
  </si>
  <si>
    <t>胃腸科、内科</t>
  </si>
  <si>
    <t>やまだ胃腸科内科</t>
  </si>
  <si>
    <t>山田　昌信</t>
  </si>
  <si>
    <t>いなべ市大安町石榑下305</t>
  </si>
  <si>
    <t>どんぐり診療所</t>
  </si>
  <si>
    <t>鳥羽　昭三</t>
  </si>
  <si>
    <t>胃腸科</t>
  </si>
  <si>
    <t>桑名市長島町松ヶ島字西島21番地</t>
  </si>
  <si>
    <t>森山クリニック</t>
  </si>
  <si>
    <t>森山　茂</t>
  </si>
  <si>
    <t>玉井医院</t>
  </si>
  <si>
    <t>玉井　琢也</t>
  </si>
  <si>
    <t>桑名市長島町福吉271番地</t>
  </si>
  <si>
    <t>医療法人（社団）佐藤病院　長島中央病院</t>
  </si>
  <si>
    <t>佐藤　沙未</t>
  </si>
  <si>
    <t>胃腸科・内科・外科・乳腺外科・肛門科</t>
  </si>
  <si>
    <t>ひがし胃腸科外科</t>
  </si>
  <si>
    <t>東　俊策</t>
  </si>
  <si>
    <t>担当診療科目名</t>
  </si>
  <si>
    <t>勤務先電話番号</t>
  </si>
  <si>
    <t>勤務先住所</t>
  </si>
  <si>
    <t>勤務先名称</t>
  </si>
  <si>
    <t>氏名</t>
  </si>
  <si>
    <t>令和７年１１月１日時点　協力難病指定医名簿</t>
    <rPh sb="12" eb="14">
      <t>キョウリョク</t>
    </rPh>
    <rPh sb="14" eb="16">
      <t>ナンビョウ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</si>
</sst>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4A65-C89C-472F-A925-7EF527C4B5C4}">
  <sheetPr>
    <pageSetUpPr fitToPage="1"/>
  </sheetPr>
  <dimension ref="A1:E95"/>
  <sheetViews>
    <sheetView tabSelected="1" zoomScale="87" zoomScaleNormal="87" workbookViewId="0">
      <selection activeCell="I7" sqref="I7"/>
    </sheetView>
  </sheetViews>
  <sheetFormatPr defaultRowHeight="18" x14ac:dyDescent="0.55000000000000004"/>
  <cols>
    <col min="1" max="1" width="17.08203125" customWidth="1"/>
    <col min="2" max="2" width="59.75" customWidth="1"/>
    <col min="3" max="3" width="55.25" customWidth="1"/>
    <col min="4" max="4" width="18.4140625" customWidth="1"/>
    <col min="5" max="5" width="80.83203125" customWidth="1"/>
  </cols>
  <sheetData>
    <row r="1" spans="1:5" ht="29" x14ac:dyDescent="0.55000000000000004">
      <c r="A1" s="4" t="s">
        <v>274</v>
      </c>
    </row>
    <row r="2" spans="1:5" x14ac:dyDescent="0.55000000000000004">
      <c r="A2" s="3" t="s">
        <v>273</v>
      </c>
      <c r="B2" s="2" t="s">
        <v>272</v>
      </c>
      <c r="C2" s="2" t="s">
        <v>271</v>
      </c>
      <c r="D2" s="2" t="s">
        <v>270</v>
      </c>
      <c r="E2" s="2" t="s">
        <v>269</v>
      </c>
    </row>
    <row r="3" spans="1:5" x14ac:dyDescent="0.55000000000000004">
      <c r="A3" s="1" t="s">
        <v>268</v>
      </c>
      <c r="B3" s="1" t="s">
        <v>267</v>
      </c>
      <c r="C3" s="1" t="str">
        <f>"桑名市藤が丘9-109"</f>
        <v>桑名市藤が丘9-109</v>
      </c>
      <c r="D3" s="1" t="str">
        <f>"0594-24-8777  "</f>
        <v xml:space="preserve">0594-24-8777  </v>
      </c>
      <c r="E3" s="1" t="s">
        <v>266</v>
      </c>
    </row>
    <row r="4" spans="1:5" x14ac:dyDescent="0.55000000000000004">
      <c r="A4" s="1" t="s">
        <v>265</v>
      </c>
      <c r="B4" s="1" t="s">
        <v>264</v>
      </c>
      <c r="C4" s="1" t="s">
        <v>263</v>
      </c>
      <c r="D4" s="1" t="str">
        <f>"0594-45-0555  "</f>
        <v xml:space="preserve">0594-45-0555  </v>
      </c>
      <c r="E4" s="1" t="s">
        <v>0</v>
      </c>
    </row>
    <row r="5" spans="1:5" x14ac:dyDescent="0.55000000000000004">
      <c r="A5" s="1" t="s">
        <v>262</v>
      </c>
      <c r="B5" s="1" t="s">
        <v>261</v>
      </c>
      <c r="C5" s="1" t="str">
        <f>"桑名市三ツ矢橋36-3"</f>
        <v>桑名市三ツ矢橋36-3</v>
      </c>
      <c r="D5" s="1" t="str">
        <f>"0594-27-7500  "</f>
        <v xml:space="preserve">0594-27-7500  </v>
      </c>
      <c r="E5" s="1" t="s">
        <v>0</v>
      </c>
    </row>
    <row r="6" spans="1:5" x14ac:dyDescent="0.55000000000000004">
      <c r="A6" s="1" t="s">
        <v>260</v>
      </c>
      <c r="B6" s="1" t="s">
        <v>259</v>
      </c>
      <c r="C6" s="1" t="s">
        <v>258</v>
      </c>
      <c r="D6" s="1" t="str">
        <f>"0594-42-4080  "</f>
        <v xml:space="preserve">0594-42-4080  </v>
      </c>
      <c r="E6" s="1" t="s">
        <v>257</v>
      </c>
    </row>
    <row r="7" spans="1:5" x14ac:dyDescent="0.55000000000000004">
      <c r="A7" s="1" t="s">
        <v>256</v>
      </c>
      <c r="B7" s="1" t="s">
        <v>255</v>
      </c>
      <c r="C7" s="1" t="s">
        <v>254</v>
      </c>
      <c r="D7" s="1" t="str">
        <f>"0594-37-6889  "</f>
        <v xml:space="preserve">0594-37-6889  </v>
      </c>
      <c r="E7" s="1" t="s">
        <v>0</v>
      </c>
    </row>
    <row r="8" spans="1:5" x14ac:dyDescent="0.55000000000000004">
      <c r="A8" s="1" t="s">
        <v>253</v>
      </c>
      <c r="B8" s="1" t="s">
        <v>252</v>
      </c>
      <c r="C8" s="1" t="str">
        <f>"員弁郡東員町中上278-1"</f>
        <v>員弁郡東員町中上278-1</v>
      </c>
      <c r="D8" s="1" t="str">
        <f>"0594-76-0706  "</f>
        <v xml:space="preserve">0594-76-0706  </v>
      </c>
      <c r="E8" s="1" t="s">
        <v>251</v>
      </c>
    </row>
    <row r="9" spans="1:5" x14ac:dyDescent="0.55000000000000004">
      <c r="A9" s="1" t="s">
        <v>250</v>
      </c>
      <c r="B9" s="1" t="s">
        <v>249</v>
      </c>
      <c r="C9" s="1" t="s">
        <v>248</v>
      </c>
      <c r="D9" s="1" t="str">
        <f>"059-337-8741  "</f>
        <v xml:space="preserve">059-337-8741  </v>
      </c>
      <c r="E9" s="1" t="s">
        <v>247</v>
      </c>
    </row>
    <row r="10" spans="1:5" x14ac:dyDescent="0.55000000000000004">
      <c r="A10" s="1" t="s">
        <v>246</v>
      </c>
      <c r="B10" s="1" t="s">
        <v>245</v>
      </c>
      <c r="C10" s="1" t="s">
        <v>244</v>
      </c>
      <c r="D10" s="1" t="str">
        <f>"059-336-3600  "</f>
        <v xml:space="preserve">059-336-3600  </v>
      </c>
      <c r="E10" s="1" t="s">
        <v>243</v>
      </c>
    </row>
    <row r="11" spans="1:5" x14ac:dyDescent="0.55000000000000004">
      <c r="A11" s="1" t="s">
        <v>242</v>
      </c>
      <c r="B11" s="1" t="s">
        <v>241</v>
      </c>
      <c r="C11" s="1" t="str">
        <f>"四日市市清水町1-12"</f>
        <v>四日市市清水町1-12</v>
      </c>
      <c r="D11" s="1" t="str">
        <f>"059-333-6662  "</f>
        <v xml:space="preserve">059-333-6662  </v>
      </c>
      <c r="E11" s="1" t="s">
        <v>240</v>
      </c>
    </row>
    <row r="12" spans="1:5" x14ac:dyDescent="0.55000000000000004">
      <c r="A12" s="1" t="s">
        <v>239</v>
      </c>
      <c r="B12" s="1" t="s">
        <v>238</v>
      </c>
      <c r="C12" s="1" t="s">
        <v>237</v>
      </c>
      <c r="D12" s="1" t="str">
        <f>"059-347-1118  "</f>
        <v xml:space="preserve">059-347-1118  </v>
      </c>
      <c r="E12" s="1" t="s">
        <v>28</v>
      </c>
    </row>
    <row r="13" spans="1:5" x14ac:dyDescent="0.55000000000000004">
      <c r="A13" s="1" t="s">
        <v>236</v>
      </c>
      <c r="B13" s="1" t="s">
        <v>235</v>
      </c>
      <c r="C13" s="1" t="s">
        <v>234</v>
      </c>
      <c r="D13" s="1" t="str">
        <f>"059-320-0011  "</f>
        <v xml:space="preserve">059-320-0011  </v>
      </c>
      <c r="E13" s="1" t="s">
        <v>0</v>
      </c>
    </row>
    <row r="14" spans="1:5" x14ac:dyDescent="0.55000000000000004">
      <c r="A14" s="1" t="s">
        <v>233</v>
      </c>
      <c r="B14" s="1" t="s">
        <v>232</v>
      </c>
      <c r="C14" s="1" t="str">
        <f>"四日市市水沢町638－3"</f>
        <v>四日市市水沢町638－3</v>
      </c>
      <c r="D14" s="1" t="str">
        <f>"059-329-3111  "</f>
        <v xml:space="preserve">059-329-3111  </v>
      </c>
      <c r="E14" s="1" t="s">
        <v>231</v>
      </c>
    </row>
    <row r="15" spans="1:5" x14ac:dyDescent="0.55000000000000004">
      <c r="A15" s="1" t="s">
        <v>230</v>
      </c>
      <c r="B15" s="1" t="s">
        <v>229</v>
      </c>
      <c r="C15" s="1" t="str">
        <f>"四日市市末永町5-15"</f>
        <v>四日市市末永町5-15</v>
      </c>
      <c r="D15" s="1" t="str">
        <f>"059-331-6985  "</f>
        <v xml:space="preserve">059-331-6985  </v>
      </c>
      <c r="E15" s="1" t="s">
        <v>0</v>
      </c>
    </row>
    <row r="16" spans="1:5" x14ac:dyDescent="0.55000000000000004">
      <c r="A16" s="1" t="s">
        <v>228</v>
      </c>
      <c r="B16" s="1" t="s">
        <v>227</v>
      </c>
      <c r="C16" s="1" t="str">
        <f>"四日市市小古曽3丁目5-33"</f>
        <v>四日市市小古曽3丁目5-33</v>
      </c>
      <c r="D16" s="1" t="str">
        <f>"059-345-0511  "</f>
        <v xml:space="preserve">059-345-0511  </v>
      </c>
      <c r="E16" s="1" t="s">
        <v>0</v>
      </c>
    </row>
    <row r="17" spans="1:5" x14ac:dyDescent="0.55000000000000004">
      <c r="A17" s="1" t="s">
        <v>226</v>
      </c>
      <c r="B17" s="1" t="s">
        <v>225</v>
      </c>
      <c r="C17" s="1" t="s">
        <v>224</v>
      </c>
      <c r="D17" s="1" t="str">
        <f>"059-354-1771  "</f>
        <v xml:space="preserve">059-354-1771  </v>
      </c>
      <c r="E17" s="1" t="s">
        <v>0</v>
      </c>
    </row>
    <row r="18" spans="1:5" x14ac:dyDescent="0.55000000000000004">
      <c r="A18" s="1" t="s">
        <v>223</v>
      </c>
      <c r="B18" s="1" t="s">
        <v>222</v>
      </c>
      <c r="C18" s="1" t="str">
        <f>"四日市市小古曽町2717-1"</f>
        <v>四日市市小古曽町2717-1</v>
      </c>
      <c r="D18" s="1" t="str">
        <f>"059-349-0100  "</f>
        <v xml:space="preserve">059-349-0100  </v>
      </c>
      <c r="E18" s="1" t="s">
        <v>221</v>
      </c>
    </row>
    <row r="19" spans="1:5" x14ac:dyDescent="0.55000000000000004">
      <c r="A19" s="1" t="s">
        <v>220</v>
      </c>
      <c r="B19" s="1" t="s">
        <v>219</v>
      </c>
      <c r="C19" s="1" t="s">
        <v>218</v>
      </c>
      <c r="D19" s="1" t="str">
        <f>"059-357-0561  "</f>
        <v xml:space="preserve">059-357-0561  </v>
      </c>
      <c r="E19" s="1" t="s">
        <v>0</v>
      </c>
    </row>
    <row r="20" spans="1:5" x14ac:dyDescent="0.55000000000000004">
      <c r="A20" s="1" t="s">
        <v>217</v>
      </c>
      <c r="B20" s="1" t="s">
        <v>216</v>
      </c>
      <c r="C20" s="1" t="str">
        <f>"四日市市久保田2丁目1-2"</f>
        <v>四日市市久保田2丁目1-2</v>
      </c>
      <c r="D20" s="1" t="str">
        <f>"059-355-2980  "</f>
        <v xml:space="preserve">059-355-2980  </v>
      </c>
      <c r="E20" s="1" t="s">
        <v>0</v>
      </c>
    </row>
    <row r="21" spans="1:5" x14ac:dyDescent="0.55000000000000004">
      <c r="A21" s="1" t="s">
        <v>215</v>
      </c>
      <c r="B21" s="1" t="s">
        <v>214</v>
      </c>
      <c r="C21" s="1" t="s">
        <v>213</v>
      </c>
      <c r="D21" s="1" t="str">
        <f>"059-327-0777  "</f>
        <v xml:space="preserve">059-327-0777  </v>
      </c>
      <c r="E21" s="1" t="s">
        <v>212</v>
      </c>
    </row>
    <row r="22" spans="1:5" x14ac:dyDescent="0.55000000000000004">
      <c r="A22" s="1" t="s">
        <v>211</v>
      </c>
      <c r="B22" s="1" t="s">
        <v>210</v>
      </c>
      <c r="C22" s="1" t="str">
        <f>"四日市市松原町8-11"</f>
        <v>四日市市松原町8-11</v>
      </c>
      <c r="D22" s="1" t="str">
        <f>"059-365-6151  "</f>
        <v xml:space="preserve">059-365-6151  </v>
      </c>
      <c r="E22" s="1" t="s">
        <v>22</v>
      </c>
    </row>
    <row r="23" spans="1:5" x14ac:dyDescent="0.55000000000000004">
      <c r="A23" s="1" t="s">
        <v>209</v>
      </c>
      <c r="B23" s="1" t="s">
        <v>208</v>
      </c>
      <c r="C23" s="1" t="str">
        <f>"四日市市諏訪栄町5-8ローレルタワーシュロア四日市1階"</f>
        <v>四日市市諏訪栄町5-8ローレルタワーシュロア四日市1階</v>
      </c>
      <c r="D23" s="1" t="str">
        <f>"059-355-0717  "</f>
        <v xml:space="preserve">059-355-0717  </v>
      </c>
      <c r="E23" s="1" t="s">
        <v>178</v>
      </c>
    </row>
    <row r="24" spans="1:5" x14ac:dyDescent="0.55000000000000004">
      <c r="A24" s="1" t="s">
        <v>207</v>
      </c>
      <c r="B24" s="1" t="s">
        <v>206</v>
      </c>
      <c r="C24" s="1" t="str">
        <f>"四日市市楠町小倉417-5"</f>
        <v>四日市市楠町小倉417-5</v>
      </c>
      <c r="D24" s="1" t="str">
        <f>"059-398-3000  "</f>
        <v xml:space="preserve">059-398-3000  </v>
      </c>
      <c r="E24" s="1" t="s">
        <v>205</v>
      </c>
    </row>
    <row r="25" spans="1:5" x14ac:dyDescent="0.55000000000000004">
      <c r="A25" s="1" t="s">
        <v>204</v>
      </c>
      <c r="B25" s="1" t="s">
        <v>203</v>
      </c>
      <c r="C25" s="1" t="str">
        <f>"四日市市山城町1107-2"</f>
        <v>四日市市山城町1107-2</v>
      </c>
      <c r="D25" s="1" t="str">
        <f>"059-337-1131  "</f>
        <v xml:space="preserve">059-337-1131  </v>
      </c>
      <c r="E25" s="1" t="s">
        <v>202</v>
      </c>
    </row>
    <row r="26" spans="1:5" x14ac:dyDescent="0.55000000000000004">
      <c r="A26" s="1" t="s">
        <v>201</v>
      </c>
      <c r="B26" s="1" t="s">
        <v>200</v>
      </c>
      <c r="C26" s="1" t="s">
        <v>199</v>
      </c>
      <c r="D26" s="1" t="str">
        <f>"059-380-2211  "</f>
        <v xml:space="preserve">059-380-2211  </v>
      </c>
      <c r="E26" s="1" t="s">
        <v>0</v>
      </c>
    </row>
    <row r="27" spans="1:5" x14ac:dyDescent="0.55000000000000004">
      <c r="A27" s="1" t="s">
        <v>198</v>
      </c>
      <c r="B27" s="1" t="s">
        <v>197</v>
      </c>
      <c r="C27" s="1" t="str">
        <f>"鈴鹿市矢橋1丁目4-12"</f>
        <v>鈴鹿市矢橋1丁目4-12</v>
      </c>
      <c r="D27" s="1" t="str">
        <f>"059-381-0333  "</f>
        <v xml:space="preserve">059-381-0333  </v>
      </c>
      <c r="E27" s="1" t="s">
        <v>154</v>
      </c>
    </row>
    <row r="28" spans="1:5" x14ac:dyDescent="0.55000000000000004">
      <c r="A28" s="1" t="s">
        <v>196</v>
      </c>
      <c r="B28" s="1" t="s">
        <v>195</v>
      </c>
      <c r="C28" s="1" t="str">
        <f>"鈴鹿市白子本町9-28"</f>
        <v>鈴鹿市白子本町9-28</v>
      </c>
      <c r="D28" s="1" t="str">
        <f>"059-386-0007  "</f>
        <v xml:space="preserve">059-386-0007  </v>
      </c>
      <c r="E28" s="1" t="s">
        <v>194</v>
      </c>
    </row>
    <row r="29" spans="1:5" x14ac:dyDescent="0.55000000000000004">
      <c r="A29" s="1" t="s">
        <v>193</v>
      </c>
      <c r="B29" s="1" t="s">
        <v>192</v>
      </c>
      <c r="C29" s="1" t="s">
        <v>191</v>
      </c>
      <c r="D29" s="1" t="str">
        <f>"059-382-1385  "</f>
        <v xml:space="preserve">059-382-1385  </v>
      </c>
      <c r="E29" s="1" t="s">
        <v>190</v>
      </c>
    </row>
    <row r="30" spans="1:5" x14ac:dyDescent="0.55000000000000004">
      <c r="A30" s="1" t="s">
        <v>189</v>
      </c>
      <c r="B30" s="1" t="s">
        <v>133</v>
      </c>
      <c r="C30" s="1" t="str">
        <f>"鈴鹿市平田東町13-26"</f>
        <v>鈴鹿市平田東町13-26</v>
      </c>
      <c r="D30" s="1" t="str">
        <f>"059-375-2600  "</f>
        <v xml:space="preserve">059-375-2600  </v>
      </c>
      <c r="E30" s="1" t="s">
        <v>188</v>
      </c>
    </row>
    <row r="31" spans="1:5" x14ac:dyDescent="0.55000000000000004">
      <c r="A31" s="1" t="s">
        <v>187</v>
      </c>
      <c r="B31" s="1" t="s">
        <v>186</v>
      </c>
      <c r="C31" s="1" t="str">
        <f>"鈴鹿市伊船町1010-1"</f>
        <v>鈴鹿市伊船町1010-1</v>
      </c>
      <c r="D31" s="1" t="str">
        <f>"059-371-6400  "</f>
        <v xml:space="preserve">059-371-6400  </v>
      </c>
      <c r="E31" s="1" t="s">
        <v>185</v>
      </c>
    </row>
    <row r="32" spans="1:5" x14ac:dyDescent="0.55000000000000004">
      <c r="A32" s="1" t="s">
        <v>184</v>
      </c>
      <c r="B32" s="1" t="s">
        <v>183</v>
      </c>
      <c r="C32" s="1" t="s">
        <v>182</v>
      </c>
      <c r="D32" s="1" t="str">
        <f>"059-385-5511  "</f>
        <v xml:space="preserve">059-385-5511  </v>
      </c>
      <c r="E32" s="1" t="s">
        <v>181</v>
      </c>
    </row>
    <row r="33" spans="1:5" x14ac:dyDescent="0.55000000000000004">
      <c r="A33" s="1" t="s">
        <v>180</v>
      </c>
      <c r="B33" s="1" t="s">
        <v>179</v>
      </c>
      <c r="C33" s="1" t="str">
        <f>"鈴鹿市神戸1丁目8-11"</f>
        <v>鈴鹿市神戸1丁目8-11</v>
      </c>
      <c r="D33" s="1" t="str">
        <f>"059-382-0758  "</f>
        <v xml:space="preserve">059-382-0758  </v>
      </c>
      <c r="E33" s="1" t="s">
        <v>178</v>
      </c>
    </row>
    <row r="34" spans="1:5" x14ac:dyDescent="0.55000000000000004">
      <c r="A34" s="1" t="s">
        <v>177</v>
      </c>
      <c r="B34" s="1" t="s">
        <v>176</v>
      </c>
      <c r="C34" s="1" t="str">
        <f>"鈴鹿市石薬師町2089-10"</f>
        <v>鈴鹿市石薬師町2089-10</v>
      </c>
      <c r="D34" s="1" t="str">
        <f>"059-374-5501  "</f>
        <v xml:space="preserve">059-374-5501  </v>
      </c>
      <c r="E34" s="1" t="s">
        <v>175</v>
      </c>
    </row>
    <row r="35" spans="1:5" x14ac:dyDescent="0.55000000000000004">
      <c r="A35" s="1" t="s">
        <v>174</v>
      </c>
      <c r="B35" s="1" t="s">
        <v>173</v>
      </c>
      <c r="C35" s="1" t="s">
        <v>172</v>
      </c>
      <c r="D35" s="1" t="str">
        <f>"059-378-2311  "</f>
        <v xml:space="preserve">059-378-2311  </v>
      </c>
      <c r="E35" s="1" t="s">
        <v>0</v>
      </c>
    </row>
    <row r="36" spans="1:5" x14ac:dyDescent="0.55000000000000004">
      <c r="A36" s="1" t="s">
        <v>171</v>
      </c>
      <c r="B36" s="1" t="s">
        <v>170</v>
      </c>
      <c r="C36" s="1" t="str">
        <f>"鈴鹿市岸岡町3385-1"</f>
        <v>鈴鹿市岸岡町3385-1</v>
      </c>
      <c r="D36" s="1" t="str">
        <f>"059-388-1682  "</f>
        <v xml:space="preserve">059-388-1682  </v>
      </c>
      <c r="E36" s="1" t="s">
        <v>169</v>
      </c>
    </row>
    <row r="37" spans="1:5" x14ac:dyDescent="0.55000000000000004">
      <c r="A37" s="1" t="s">
        <v>168</v>
      </c>
      <c r="B37" s="1" t="s">
        <v>167</v>
      </c>
      <c r="C37" s="1" t="s">
        <v>166</v>
      </c>
      <c r="D37" s="1" t="str">
        <f>"0595-41-2277  "</f>
        <v xml:space="preserve">0595-41-2277  </v>
      </c>
      <c r="E37" s="1" t="s">
        <v>165</v>
      </c>
    </row>
    <row r="38" spans="1:5" x14ac:dyDescent="0.55000000000000004">
      <c r="A38" s="1" t="s">
        <v>164</v>
      </c>
      <c r="B38" s="1" t="s">
        <v>163</v>
      </c>
      <c r="C38" s="1" t="str">
        <f>"名張市東町1901-1"</f>
        <v>名張市東町1901-1</v>
      </c>
      <c r="D38" s="1" t="str">
        <f>"0595-64-1717  "</f>
        <v xml:space="preserve">0595-64-1717  </v>
      </c>
      <c r="E38" s="1" t="s">
        <v>0</v>
      </c>
    </row>
    <row r="39" spans="1:5" x14ac:dyDescent="0.55000000000000004">
      <c r="A39" s="1" t="s">
        <v>162</v>
      </c>
      <c r="B39" s="1" t="s">
        <v>161</v>
      </c>
      <c r="C39" s="1" t="str">
        <f>"名張市桔梗が丘5-10-45"</f>
        <v>名張市桔梗が丘5-10-45</v>
      </c>
      <c r="D39" s="1" t="str">
        <f>"0595-65-0023  "</f>
        <v xml:space="preserve">0595-65-0023  </v>
      </c>
      <c r="E39" s="1" t="s">
        <v>22</v>
      </c>
    </row>
    <row r="40" spans="1:5" x14ac:dyDescent="0.55000000000000004">
      <c r="A40" s="1" t="s">
        <v>160</v>
      </c>
      <c r="B40" s="1" t="s">
        <v>159</v>
      </c>
      <c r="C40" s="1" t="s">
        <v>158</v>
      </c>
      <c r="D40" s="1" t="str">
        <f>"0595-63-0003  "</f>
        <v xml:space="preserve">0595-63-0003  </v>
      </c>
      <c r="E40" s="1" t="s">
        <v>157</v>
      </c>
    </row>
    <row r="41" spans="1:5" x14ac:dyDescent="0.55000000000000004">
      <c r="A41" s="1" t="s">
        <v>156</v>
      </c>
      <c r="B41" s="1" t="s">
        <v>155</v>
      </c>
      <c r="C41" s="1" t="str">
        <f>"伊賀市上野茅町2666-1"</f>
        <v>伊賀市上野茅町2666-1</v>
      </c>
      <c r="D41" s="1" t="str">
        <f>"0595-26-5050  "</f>
        <v xml:space="preserve">0595-26-5050  </v>
      </c>
      <c r="E41" s="1" t="s">
        <v>154</v>
      </c>
    </row>
    <row r="42" spans="1:5" x14ac:dyDescent="0.55000000000000004">
      <c r="A42" s="1" t="s">
        <v>153</v>
      </c>
      <c r="B42" s="1" t="s">
        <v>152</v>
      </c>
      <c r="C42" s="1" t="s">
        <v>151</v>
      </c>
      <c r="D42" s="1" t="str">
        <f>"0595-26-0707  "</f>
        <v xml:space="preserve">0595-26-0707  </v>
      </c>
      <c r="E42" s="1" t="s">
        <v>150</v>
      </c>
    </row>
    <row r="43" spans="1:5" x14ac:dyDescent="0.55000000000000004">
      <c r="A43" s="1" t="s">
        <v>149</v>
      </c>
      <c r="B43" s="1" t="s">
        <v>148</v>
      </c>
      <c r="C43" s="1" t="str">
        <f>"伊賀市柘植町2033-2"</f>
        <v>伊賀市柘植町2033-2</v>
      </c>
      <c r="D43" s="1" t="str">
        <f>"0595-45-5470  "</f>
        <v xml:space="preserve">0595-45-5470  </v>
      </c>
      <c r="E43" s="1" t="s">
        <v>0</v>
      </c>
    </row>
    <row r="44" spans="1:5" x14ac:dyDescent="0.55000000000000004">
      <c r="A44" s="1" t="s">
        <v>147</v>
      </c>
      <c r="B44" s="1" t="s">
        <v>146</v>
      </c>
      <c r="C44" s="1" t="s">
        <v>145</v>
      </c>
      <c r="D44" s="1" t="str">
        <f>"0595-36-2550  "</f>
        <v xml:space="preserve">0595-36-2550  </v>
      </c>
      <c r="E44" s="1" t="s">
        <v>144</v>
      </c>
    </row>
    <row r="45" spans="1:5" x14ac:dyDescent="0.55000000000000004">
      <c r="A45" s="1" t="s">
        <v>143</v>
      </c>
      <c r="B45" s="1" t="s">
        <v>142</v>
      </c>
      <c r="C45" s="1" t="s">
        <v>141</v>
      </c>
      <c r="D45" s="1" t="str">
        <f>"0595-45-7788  "</f>
        <v xml:space="preserve">0595-45-7788  </v>
      </c>
      <c r="E45" s="1" t="s">
        <v>22</v>
      </c>
    </row>
    <row r="46" spans="1:5" x14ac:dyDescent="0.55000000000000004">
      <c r="A46" s="1" t="s">
        <v>140</v>
      </c>
      <c r="B46" s="1" t="s">
        <v>139</v>
      </c>
      <c r="C46" s="1" t="str">
        <f>"伊賀市馬場1121-2"</f>
        <v>伊賀市馬場1121-2</v>
      </c>
      <c r="D46" s="1" t="str">
        <f>"0595-43-1511  "</f>
        <v xml:space="preserve">0595-43-1511  </v>
      </c>
      <c r="E46" s="1" t="s">
        <v>0</v>
      </c>
    </row>
    <row r="47" spans="1:5" x14ac:dyDescent="0.55000000000000004">
      <c r="A47" s="1" t="s">
        <v>138</v>
      </c>
      <c r="B47" s="1" t="s">
        <v>137</v>
      </c>
      <c r="C47" s="1" t="s">
        <v>136</v>
      </c>
      <c r="D47" s="1" t="str">
        <f>"0595-21-5010  "</f>
        <v xml:space="preserve">0595-21-5010  </v>
      </c>
      <c r="E47" s="1" t="s">
        <v>135</v>
      </c>
    </row>
    <row r="48" spans="1:5" x14ac:dyDescent="0.55000000000000004">
      <c r="A48" s="1" t="s">
        <v>134</v>
      </c>
      <c r="B48" s="1" t="s">
        <v>133</v>
      </c>
      <c r="C48" s="1" t="str">
        <f>"伊賀市桐ヶ丘3-325"</f>
        <v>伊賀市桐ヶ丘3-325</v>
      </c>
      <c r="D48" s="1" t="str">
        <f>"0595-52-2099  "</f>
        <v xml:space="preserve">0595-52-2099  </v>
      </c>
      <c r="E48" s="1" t="s">
        <v>35</v>
      </c>
    </row>
    <row r="49" spans="1:5" x14ac:dyDescent="0.55000000000000004">
      <c r="A49" s="1" t="s">
        <v>132</v>
      </c>
      <c r="B49" s="1" t="s">
        <v>131</v>
      </c>
      <c r="C49" s="1" t="str">
        <f>"伊賀市上野玄蕃町197-1"</f>
        <v>伊賀市上野玄蕃町197-1</v>
      </c>
      <c r="D49" s="1" t="str">
        <f>"0595-23-1111  "</f>
        <v xml:space="preserve">0595-23-1111  </v>
      </c>
      <c r="E49" s="1" t="s">
        <v>130</v>
      </c>
    </row>
    <row r="50" spans="1:5" x14ac:dyDescent="0.55000000000000004">
      <c r="A50" s="1" t="s">
        <v>129</v>
      </c>
      <c r="B50" s="1" t="s">
        <v>128</v>
      </c>
      <c r="C50" s="1" t="s">
        <v>127</v>
      </c>
      <c r="D50" s="1" t="str">
        <f>"0595-59-2019  "</f>
        <v xml:space="preserve">0595-59-2019  </v>
      </c>
      <c r="E50" s="1" t="s">
        <v>0</v>
      </c>
    </row>
    <row r="51" spans="1:5" x14ac:dyDescent="0.55000000000000004">
      <c r="A51" s="1" t="s">
        <v>126</v>
      </c>
      <c r="B51" s="1" t="s">
        <v>125</v>
      </c>
      <c r="C51" s="1" t="s">
        <v>124</v>
      </c>
      <c r="D51" s="1" t="str">
        <f>"0595-37-0114  "</f>
        <v xml:space="preserve">0595-37-0114  </v>
      </c>
      <c r="E51" s="1" t="s">
        <v>0</v>
      </c>
    </row>
    <row r="52" spans="1:5" x14ac:dyDescent="0.55000000000000004">
      <c r="A52" s="1" t="s">
        <v>123</v>
      </c>
      <c r="B52" s="1" t="s">
        <v>122</v>
      </c>
      <c r="C52" s="1" t="s">
        <v>121</v>
      </c>
      <c r="D52" s="1" t="str">
        <f>"059-271-5618  "</f>
        <v xml:space="preserve">059-271-5618  </v>
      </c>
      <c r="E52" s="1" t="s">
        <v>0</v>
      </c>
    </row>
    <row r="53" spans="1:5" x14ac:dyDescent="0.55000000000000004">
      <c r="A53" s="1" t="s">
        <v>120</v>
      </c>
      <c r="B53" s="1" t="s">
        <v>119</v>
      </c>
      <c r="C53" s="1" t="str">
        <f>"津市一志町小山1434-2"</f>
        <v>津市一志町小山1434-2</v>
      </c>
      <c r="D53" s="1" t="str">
        <f>"059-295-0005  "</f>
        <v xml:space="preserve">059-295-0005  </v>
      </c>
      <c r="E53" s="1" t="s">
        <v>0</v>
      </c>
    </row>
    <row r="54" spans="1:5" x14ac:dyDescent="0.55000000000000004">
      <c r="A54" s="1" t="s">
        <v>118</v>
      </c>
      <c r="B54" s="1" t="s">
        <v>117</v>
      </c>
      <c r="C54" s="1" t="s">
        <v>116</v>
      </c>
      <c r="D54" s="1" t="str">
        <f>"059-213-5005  "</f>
        <v xml:space="preserve">059-213-5005  </v>
      </c>
      <c r="E54" s="1" t="s">
        <v>115</v>
      </c>
    </row>
    <row r="55" spans="1:5" x14ac:dyDescent="0.55000000000000004">
      <c r="A55" s="1" t="s">
        <v>114</v>
      </c>
      <c r="B55" s="1" t="s">
        <v>113</v>
      </c>
      <c r="C55" s="1" t="str">
        <f>"津市美里町足坂165-2"</f>
        <v>津市美里町足坂165-2</v>
      </c>
      <c r="D55" s="1" t="str">
        <f>"059-279-5111  "</f>
        <v xml:space="preserve">059-279-5111  </v>
      </c>
      <c r="E55" s="1" t="s">
        <v>112</v>
      </c>
    </row>
    <row r="56" spans="1:5" x14ac:dyDescent="0.55000000000000004">
      <c r="A56" s="1" t="s">
        <v>111</v>
      </c>
      <c r="B56" s="1" t="s">
        <v>110</v>
      </c>
      <c r="C56" s="1" t="s">
        <v>109</v>
      </c>
      <c r="D56" s="1" t="str">
        <f>"059-245-5900  "</f>
        <v xml:space="preserve">059-245-5900  </v>
      </c>
      <c r="E56" s="1" t="s">
        <v>28</v>
      </c>
    </row>
    <row r="57" spans="1:5" x14ac:dyDescent="0.55000000000000004">
      <c r="A57" s="1" t="s">
        <v>108</v>
      </c>
      <c r="B57" s="1" t="s">
        <v>107</v>
      </c>
      <c r="C57" s="1" t="str">
        <f>"津市藤方154-1"</f>
        <v>津市藤方154-1</v>
      </c>
      <c r="D57" s="1" t="str">
        <f>"059-238-5566  "</f>
        <v xml:space="preserve">059-238-5566  </v>
      </c>
      <c r="E57" s="1" t="s">
        <v>0</v>
      </c>
    </row>
    <row r="58" spans="1:5" x14ac:dyDescent="0.55000000000000004">
      <c r="A58" s="1" t="s">
        <v>106</v>
      </c>
      <c r="B58" s="1" t="s">
        <v>105</v>
      </c>
      <c r="C58" s="1" t="str">
        <f>"津市久居元町1709-3"</f>
        <v>津市久居元町1709-3</v>
      </c>
      <c r="D58" s="1" t="str">
        <f>"059-255-7766  "</f>
        <v xml:space="preserve">059-255-7766  </v>
      </c>
      <c r="E58" s="1" t="s">
        <v>104</v>
      </c>
    </row>
    <row r="59" spans="1:5" x14ac:dyDescent="0.55000000000000004">
      <c r="A59" s="1" t="s">
        <v>103</v>
      </c>
      <c r="B59" s="1" t="s">
        <v>102</v>
      </c>
      <c r="C59" s="1" t="str">
        <f>"津市香良洲町1875-1"</f>
        <v>津市香良洲町1875-1</v>
      </c>
      <c r="D59" s="1" t="str">
        <f>"059-292-7007  "</f>
        <v xml:space="preserve">059-292-7007  </v>
      </c>
      <c r="E59" s="1" t="s">
        <v>101</v>
      </c>
    </row>
    <row r="60" spans="1:5" x14ac:dyDescent="0.55000000000000004">
      <c r="A60" s="1" t="s">
        <v>100</v>
      </c>
      <c r="B60" s="1" t="s">
        <v>99</v>
      </c>
      <c r="C60" s="1" t="s">
        <v>98</v>
      </c>
      <c r="D60" s="1" t="str">
        <f>"059-256-6665  "</f>
        <v xml:space="preserve">059-256-6665  </v>
      </c>
      <c r="E60" s="1" t="s">
        <v>52</v>
      </c>
    </row>
    <row r="61" spans="1:5" x14ac:dyDescent="0.55000000000000004">
      <c r="A61" s="1" t="s">
        <v>97</v>
      </c>
      <c r="B61" s="1" t="s">
        <v>96</v>
      </c>
      <c r="C61" s="1" t="s">
        <v>95</v>
      </c>
      <c r="D61" s="1" t="str">
        <f>"059-252-2300  "</f>
        <v xml:space="preserve">059-252-2300  </v>
      </c>
      <c r="E61" s="1" t="s">
        <v>0</v>
      </c>
    </row>
    <row r="62" spans="1:5" x14ac:dyDescent="0.55000000000000004">
      <c r="A62" s="1" t="s">
        <v>94</v>
      </c>
      <c r="B62" s="1" t="s">
        <v>93</v>
      </c>
      <c r="C62" s="1" t="str">
        <f>"津市藤方1590-1"</f>
        <v>津市藤方1590-1</v>
      </c>
      <c r="D62" s="1" t="str">
        <f>"059-221-5001  "</f>
        <v xml:space="preserve">059-221-5001  </v>
      </c>
      <c r="E62" s="1" t="s">
        <v>92</v>
      </c>
    </row>
    <row r="63" spans="1:5" x14ac:dyDescent="0.55000000000000004">
      <c r="A63" s="1" t="s">
        <v>91</v>
      </c>
      <c r="B63" s="1" t="s">
        <v>90</v>
      </c>
      <c r="C63" s="1" t="str">
        <f>"津市殿村860-2"</f>
        <v>津市殿村860-2</v>
      </c>
      <c r="D63" s="1" t="str">
        <f>"059-237-5050  "</f>
        <v xml:space="preserve">059-237-5050  </v>
      </c>
      <c r="E63" s="1" t="s">
        <v>0</v>
      </c>
    </row>
    <row r="64" spans="1:5" x14ac:dyDescent="0.55000000000000004">
      <c r="A64" s="1" t="s">
        <v>89</v>
      </c>
      <c r="B64" s="1" t="s">
        <v>88</v>
      </c>
      <c r="C64" s="1" t="str">
        <f>"津市西丸之内5-9"</f>
        <v>津市西丸之内5-9</v>
      </c>
      <c r="D64" s="1" t="str">
        <f>"059-271-7710  "</f>
        <v xml:space="preserve">059-271-7710  </v>
      </c>
      <c r="E64" s="1" t="s">
        <v>87</v>
      </c>
    </row>
    <row r="65" spans="1:5" x14ac:dyDescent="0.55000000000000004">
      <c r="A65" s="1" t="s">
        <v>86</v>
      </c>
      <c r="B65" s="1" t="s">
        <v>85</v>
      </c>
      <c r="C65" s="1" t="str">
        <f>"津市久居井戸山町707-3"</f>
        <v>津市久居井戸山町707-3</v>
      </c>
      <c r="D65" s="1" t="str">
        <f>"059-253-1951  "</f>
        <v xml:space="preserve">059-253-1951  </v>
      </c>
      <c r="E65" s="1" t="s">
        <v>84</v>
      </c>
    </row>
    <row r="66" spans="1:5" x14ac:dyDescent="0.55000000000000004">
      <c r="A66" s="1" t="s">
        <v>83</v>
      </c>
      <c r="B66" s="1" t="s">
        <v>82</v>
      </c>
      <c r="C66" s="1" t="s">
        <v>81</v>
      </c>
      <c r="D66" s="1" t="str">
        <f>"059-262-0600  "</f>
        <v xml:space="preserve">059-262-0600  </v>
      </c>
      <c r="E66" s="1" t="s">
        <v>0</v>
      </c>
    </row>
    <row r="67" spans="1:5" x14ac:dyDescent="0.55000000000000004">
      <c r="A67" s="1" t="s">
        <v>80</v>
      </c>
      <c r="B67" s="1" t="s">
        <v>79</v>
      </c>
      <c r="C67" s="1" t="str">
        <f>"津市大里野田町1124-1"</f>
        <v>津市大里野田町1124-1</v>
      </c>
      <c r="D67" s="1" t="str">
        <f>"059-230-7814  "</f>
        <v xml:space="preserve">059-230-7814  </v>
      </c>
      <c r="E67" s="1" t="s">
        <v>0</v>
      </c>
    </row>
    <row r="68" spans="1:5" x14ac:dyDescent="0.55000000000000004">
      <c r="A68" s="1" t="s">
        <v>78</v>
      </c>
      <c r="B68" s="1" t="s">
        <v>77</v>
      </c>
      <c r="C68" s="1" t="str">
        <f>"津市大里野田町1124-1"</f>
        <v>津市大里野田町1124-1</v>
      </c>
      <c r="D68" s="1" t="str">
        <f>"059-230-7814  "</f>
        <v xml:space="preserve">059-230-7814  </v>
      </c>
      <c r="E68" s="1" t="s">
        <v>0</v>
      </c>
    </row>
    <row r="69" spans="1:5" x14ac:dyDescent="0.55000000000000004">
      <c r="A69" s="1" t="s">
        <v>76</v>
      </c>
      <c r="B69" s="1" t="s">
        <v>75</v>
      </c>
      <c r="C69" s="1" t="s">
        <v>74</v>
      </c>
      <c r="D69" s="1" t="str">
        <f>"059-254-0300  "</f>
        <v xml:space="preserve">059-254-0300  </v>
      </c>
      <c r="E69" s="1" t="s">
        <v>22</v>
      </c>
    </row>
    <row r="70" spans="1:5" x14ac:dyDescent="0.55000000000000004">
      <c r="A70" s="1" t="s">
        <v>73</v>
      </c>
      <c r="B70" s="1" t="s">
        <v>72</v>
      </c>
      <c r="C70" s="1" t="s">
        <v>71</v>
      </c>
      <c r="D70" s="1" t="str">
        <f>"059-227-6712  "</f>
        <v xml:space="preserve">059-227-6712  </v>
      </c>
      <c r="E70" s="1" t="s">
        <v>0</v>
      </c>
    </row>
    <row r="71" spans="1:5" x14ac:dyDescent="0.55000000000000004">
      <c r="A71" s="1" t="s">
        <v>70</v>
      </c>
      <c r="B71" s="1" t="s">
        <v>69</v>
      </c>
      <c r="C71" s="1" t="str">
        <f>"津市観音寺町799-7　TCCビル2階"</f>
        <v>津市観音寺町799-7　TCCビル2階</v>
      </c>
      <c r="D71" s="1" t="str">
        <f>"059-229-5725  "</f>
        <v xml:space="preserve">059-229-5725  </v>
      </c>
      <c r="E71" s="1" t="s">
        <v>0</v>
      </c>
    </row>
    <row r="72" spans="1:5" x14ac:dyDescent="0.55000000000000004">
      <c r="A72" s="1" t="s">
        <v>68</v>
      </c>
      <c r="B72" s="1" t="s">
        <v>67</v>
      </c>
      <c r="C72" s="1" t="s">
        <v>66</v>
      </c>
      <c r="D72" s="1" t="str">
        <f>"059-253-4555  "</f>
        <v xml:space="preserve">059-253-4555  </v>
      </c>
      <c r="E72" s="1" t="s">
        <v>65</v>
      </c>
    </row>
    <row r="73" spans="1:5" x14ac:dyDescent="0.55000000000000004">
      <c r="A73" s="1" t="s">
        <v>64</v>
      </c>
      <c r="B73" s="1" t="s">
        <v>63</v>
      </c>
      <c r="C73" s="1" t="s">
        <v>62</v>
      </c>
      <c r="D73" s="1" t="str">
        <f>"0598-23-5941  "</f>
        <v xml:space="preserve">0598-23-5941  </v>
      </c>
      <c r="E73" s="1" t="s">
        <v>22</v>
      </c>
    </row>
    <row r="74" spans="1:5" x14ac:dyDescent="0.55000000000000004">
      <c r="A74" s="1" t="s">
        <v>61</v>
      </c>
      <c r="B74" s="1" t="s">
        <v>60</v>
      </c>
      <c r="C74" s="1" t="str">
        <f>"松阪市曽原町811-1"</f>
        <v>松阪市曽原町811-1</v>
      </c>
      <c r="D74" s="1" t="str">
        <f>"0598-56-2250  "</f>
        <v xml:space="preserve">0598-56-2250  </v>
      </c>
      <c r="E74" s="1" t="s">
        <v>0</v>
      </c>
    </row>
    <row r="75" spans="1:5" x14ac:dyDescent="0.55000000000000004">
      <c r="A75" s="1" t="s">
        <v>59</v>
      </c>
      <c r="B75" s="1" t="s">
        <v>58</v>
      </c>
      <c r="C75" s="1" t="s">
        <v>57</v>
      </c>
      <c r="D75" s="1" t="str">
        <f>"0598-26-3846  "</f>
        <v xml:space="preserve">0598-26-3846  </v>
      </c>
      <c r="E75" s="1" t="s">
        <v>0</v>
      </c>
    </row>
    <row r="76" spans="1:5" x14ac:dyDescent="0.55000000000000004">
      <c r="A76" s="1" t="s">
        <v>56</v>
      </c>
      <c r="B76" s="1" t="s">
        <v>55</v>
      </c>
      <c r="C76" s="1" t="str">
        <f>"松阪市田村町六才476-1"</f>
        <v>松阪市田村町六才476-1</v>
      </c>
      <c r="D76" s="1" t="str">
        <f>"0598-25-1130  "</f>
        <v xml:space="preserve">0598-25-1130  </v>
      </c>
      <c r="E76" s="1" t="s">
        <v>0</v>
      </c>
    </row>
    <row r="77" spans="1:5" x14ac:dyDescent="0.55000000000000004">
      <c r="A77" s="1" t="s">
        <v>54</v>
      </c>
      <c r="B77" s="1" t="s">
        <v>53</v>
      </c>
      <c r="C77" s="1" t="str">
        <f>"松阪市丹生寺町127-40"</f>
        <v>松阪市丹生寺町127-40</v>
      </c>
      <c r="D77" s="1" t="str">
        <f>"0598-58-1296  "</f>
        <v xml:space="preserve">0598-58-1296  </v>
      </c>
      <c r="E77" s="1" t="s">
        <v>52</v>
      </c>
    </row>
    <row r="78" spans="1:5" x14ac:dyDescent="0.55000000000000004">
      <c r="A78" s="1" t="s">
        <v>51</v>
      </c>
      <c r="B78" s="1" t="s">
        <v>50</v>
      </c>
      <c r="C78" s="1" t="str">
        <f>"松阪市飯南町粥見5471-18"</f>
        <v>松阪市飯南町粥見5471-18</v>
      </c>
      <c r="D78" s="1" t="str">
        <f>"0598-32-5151  "</f>
        <v xml:space="preserve">0598-32-5151  </v>
      </c>
      <c r="E78" s="1" t="s">
        <v>0</v>
      </c>
    </row>
    <row r="79" spans="1:5" x14ac:dyDescent="0.55000000000000004">
      <c r="A79" s="1" t="s">
        <v>49</v>
      </c>
      <c r="B79" s="1" t="s">
        <v>48</v>
      </c>
      <c r="C79" s="1" t="s">
        <v>47</v>
      </c>
      <c r="D79" s="1" t="str">
        <f>"0596-55-3988  "</f>
        <v xml:space="preserve">0596-55-3988  </v>
      </c>
      <c r="E79" s="1" t="s">
        <v>0</v>
      </c>
    </row>
    <row r="80" spans="1:5" x14ac:dyDescent="0.55000000000000004">
      <c r="A80" s="1" t="s">
        <v>46</v>
      </c>
      <c r="B80" s="1" t="s">
        <v>45</v>
      </c>
      <c r="C80" s="1" t="s">
        <v>44</v>
      </c>
      <c r="D80" s="1" t="str">
        <f>"0596-52-5005  "</f>
        <v xml:space="preserve">0596-52-5005  </v>
      </c>
      <c r="E80" s="1" t="s">
        <v>0</v>
      </c>
    </row>
    <row r="81" spans="1:5" x14ac:dyDescent="0.55000000000000004">
      <c r="A81" s="1" t="s">
        <v>43</v>
      </c>
      <c r="B81" s="1" t="s">
        <v>42</v>
      </c>
      <c r="C81" s="1" t="str">
        <f>"多気郡大台町栃原1242-11"</f>
        <v>多気郡大台町栃原1242-11</v>
      </c>
      <c r="D81" s="1" t="str">
        <f>"0598-85-0039  "</f>
        <v xml:space="preserve">0598-85-0039  </v>
      </c>
      <c r="E81" s="1" t="s">
        <v>0</v>
      </c>
    </row>
    <row r="82" spans="1:5" x14ac:dyDescent="0.55000000000000004">
      <c r="A82" s="1" t="s">
        <v>41</v>
      </c>
      <c r="B82" s="1" t="s">
        <v>40</v>
      </c>
      <c r="C82" s="1" t="s">
        <v>39</v>
      </c>
      <c r="D82" s="1" t="str">
        <f>"0598-76-1133  "</f>
        <v xml:space="preserve">0598-76-1133  </v>
      </c>
      <c r="E82" s="1" t="s">
        <v>0</v>
      </c>
    </row>
    <row r="83" spans="1:5" x14ac:dyDescent="0.55000000000000004">
      <c r="A83" s="1" t="s">
        <v>38</v>
      </c>
      <c r="B83" s="1" t="s">
        <v>37</v>
      </c>
      <c r="C83" s="1" t="s">
        <v>36</v>
      </c>
      <c r="D83" s="1" t="str">
        <f>"0596-28-8425  "</f>
        <v xml:space="preserve">0596-28-8425  </v>
      </c>
      <c r="E83" s="1" t="s">
        <v>35</v>
      </c>
    </row>
    <row r="84" spans="1:5" x14ac:dyDescent="0.55000000000000004">
      <c r="A84" s="1" t="s">
        <v>34</v>
      </c>
      <c r="B84" s="1" t="s">
        <v>33</v>
      </c>
      <c r="C84" s="1" t="str">
        <f>"伊勢市岩渕2丁目2-3"</f>
        <v>伊勢市岩渕2丁目2-3</v>
      </c>
      <c r="D84" s="1" t="str">
        <f>"0596-28-3402  "</f>
        <v xml:space="preserve">0596-28-3402  </v>
      </c>
      <c r="E84" s="1" t="s">
        <v>32</v>
      </c>
    </row>
    <row r="85" spans="1:5" x14ac:dyDescent="0.55000000000000004">
      <c r="A85" s="1" t="s">
        <v>31</v>
      </c>
      <c r="B85" s="1" t="s">
        <v>30</v>
      </c>
      <c r="C85" s="1" t="s">
        <v>29</v>
      </c>
      <c r="D85" s="1" t="str">
        <f>"0596-58-3039  "</f>
        <v xml:space="preserve">0596-58-3039  </v>
      </c>
      <c r="E85" s="1" t="s">
        <v>28</v>
      </c>
    </row>
    <row r="86" spans="1:5" x14ac:dyDescent="0.55000000000000004">
      <c r="A86" s="1" t="s">
        <v>27</v>
      </c>
      <c r="B86" s="1" t="s">
        <v>26</v>
      </c>
      <c r="C86" s="1" t="str">
        <f>"度会郡玉城町佐田500-1"</f>
        <v>度会郡玉城町佐田500-1</v>
      </c>
      <c r="D86" s="1" t="str">
        <f>"0596-58-8499  "</f>
        <v xml:space="preserve">0596-58-8499  </v>
      </c>
      <c r="E86" s="1" t="s">
        <v>0</v>
      </c>
    </row>
    <row r="87" spans="1:5" x14ac:dyDescent="0.55000000000000004">
      <c r="A87" s="1" t="s">
        <v>25</v>
      </c>
      <c r="B87" s="1" t="s">
        <v>24</v>
      </c>
      <c r="C87" s="1" t="s">
        <v>23</v>
      </c>
      <c r="D87" s="1" t="str">
        <f>"0599-26-3746  "</f>
        <v xml:space="preserve">0599-26-3746  </v>
      </c>
      <c r="E87" s="1" t="s">
        <v>22</v>
      </c>
    </row>
    <row r="88" spans="1:5" x14ac:dyDescent="0.55000000000000004">
      <c r="A88" s="1" t="s">
        <v>21</v>
      </c>
      <c r="B88" s="1" t="s">
        <v>20</v>
      </c>
      <c r="C88" s="1" t="s">
        <v>19</v>
      </c>
      <c r="D88" s="1" t="str">
        <f>"0599-55-3333  "</f>
        <v xml:space="preserve">0599-55-3333  </v>
      </c>
      <c r="E88" s="1" t="s">
        <v>0</v>
      </c>
    </row>
    <row r="89" spans="1:5" x14ac:dyDescent="0.55000000000000004">
      <c r="A89" s="1" t="s">
        <v>18</v>
      </c>
      <c r="B89" s="1" t="s">
        <v>17</v>
      </c>
      <c r="C89" s="1" t="str">
        <f>"志摩市浜島町浜島1779－11"</f>
        <v>志摩市浜島町浜島1779－11</v>
      </c>
      <c r="D89" s="1" t="str">
        <f>"0599-53-2525  "</f>
        <v xml:space="preserve">0599-53-2525  </v>
      </c>
      <c r="E89" s="1" t="s">
        <v>16</v>
      </c>
    </row>
    <row r="90" spans="1:5" x14ac:dyDescent="0.55000000000000004">
      <c r="A90" s="1" t="s">
        <v>15</v>
      </c>
      <c r="B90" s="1" t="s">
        <v>14</v>
      </c>
      <c r="C90" s="1" t="s">
        <v>13</v>
      </c>
      <c r="D90" s="1" t="str">
        <f>"0599-43-0501  "</f>
        <v xml:space="preserve">0599-43-0501  </v>
      </c>
      <c r="E90" s="1" t="s">
        <v>12</v>
      </c>
    </row>
    <row r="91" spans="1:5" x14ac:dyDescent="0.55000000000000004">
      <c r="A91" s="1" t="s">
        <v>11</v>
      </c>
      <c r="B91" s="1" t="s">
        <v>10</v>
      </c>
      <c r="C91" s="1" t="str">
        <f>"志摩市浜島町南張7-1"</f>
        <v>志摩市浜島町南張7-1</v>
      </c>
      <c r="D91" s="1" t="str">
        <f>"0599-53-1235  "</f>
        <v xml:space="preserve">0599-53-1235  </v>
      </c>
      <c r="E91" s="1" t="s">
        <v>0</v>
      </c>
    </row>
    <row r="92" spans="1:5" x14ac:dyDescent="0.55000000000000004">
      <c r="A92" s="1" t="s">
        <v>9</v>
      </c>
      <c r="B92" s="1" t="s">
        <v>8</v>
      </c>
      <c r="C92" s="1" t="str">
        <f>"熊野市井戸町903-7"</f>
        <v>熊野市井戸町903-7</v>
      </c>
      <c r="D92" s="1" t="str">
        <f>"0597-85-2021  "</f>
        <v xml:space="preserve">0597-85-2021  </v>
      </c>
      <c r="E92" s="1" t="s">
        <v>0</v>
      </c>
    </row>
    <row r="93" spans="1:5" x14ac:dyDescent="0.55000000000000004">
      <c r="A93" s="1" t="s">
        <v>7</v>
      </c>
      <c r="B93" s="1" t="s">
        <v>6</v>
      </c>
      <c r="C93" s="1" t="s">
        <v>5</v>
      </c>
      <c r="D93" s="1" t="str">
        <f>"05979-2-4165  "</f>
        <v xml:space="preserve">05979-2-4165  </v>
      </c>
      <c r="E93" s="1" t="s">
        <v>0</v>
      </c>
    </row>
    <row r="94" spans="1:5" x14ac:dyDescent="0.55000000000000004">
      <c r="A94" s="1" t="s">
        <v>4</v>
      </c>
      <c r="B94" s="1" t="s">
        <v>1</v>
      </c>
      <c r="C94" s="1" t="str">
        <f>"南牟婁郡御浜町下市木4649-28"</f>
        <v>南牟婁郡御浜町下市木4649-28</v>
      </c>
      <c r="D94" s="1" t="str">
        <f>"05979-3-0150  "</f>
        <v xml:space="preserve">05979-3-0150  </v>
      </c>
      <c r="E94" s="1" t="s">
        <v>3</v>
      </c>
    </row>
    <row r="95" spans="1:5" x14ac:dyDescent="0.55000000000000004">
      <c r="A95" s="1" t="s">
        <v>2</v>
      </c>
      <c r="B95" s="1" t="s">
        <v>1</v>
      </c>
      <c r="C95" s="1" t="str">
        <f>"南牟婁郡御浜町下市木4649-28"</f>
        <v>南牟婁郡御浜町下市木4649-28</v>
      </c>
      <c r="D95" s="1" t="str">
        <f>"05979-3-0150  "</f>
        <v xml:space="preserve">05979-3-0150  </v>
      </c>
      <c r="E95" s="1" t="s">
        <v>0</v>
      </c>
    </row>
  </sheetData>
  <autoFilter ref="A2:E95" xr:uid="{DFFCC7BA-BCFB-4F3E-8F78-8F11DAC8FCA7}">
    <sortState xmlns:xlrd2="http://schemas.microsoft.com/office/spreadsheetml/2017/richdata2" ref="A3:E95">
      <sortCondition ref="B3:B95"/>
    </sortState>
  </autoFilter>
  <phoneticPr fontId="1"/>
  <pageMargins left="0.7" right="0.7" top="0.75" bottom="0.75" header="0.3" footer="0.3"/>
  <pageSetup paperSize="8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協力難病指定医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